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45" windowHeight="14835" activeTab="0"/>
  </bookViews>
  <sheets>
    <sheet name="耐震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<sst xmlns="http://schemas.openxmlformats.org/spreadsheetml/2006/main" count="112" uniqueCount="63">
  <si>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階数</t>
  </si>
  <si>
    <t>２階</t>
  </si>
  <si>
    <t>１階</t>
  </si>
  <si>
    <t>地震に対する必要壁量</t>
  </si>
  <si>
    <t>Ｘ方向、Ｙ方向共通</t>
  </si>
  <si>
    <t>床面積</t>
  </si>
  <si>
    <t>(m2)</t>
  </si>
  <si>
    <t>地震係数</t>
  </si>
  <si>
    <t>値(1)</t>
  </si>
  <si>
    <t>■建物概要</t>
  </si>
  <si>
    <t>２階床面積</t>
  </si>
  <si>
    <t>小屋裏収納又はロフト面積</t>
  </si>
  <si>
    <t>２階の吹き抜け面積</t>
  </si>
  <si>
    <t>建築基準法・壁量用床面積</t>
  </si>
  <si>
    <t>品確法・性能表示用床面積</t>
  </si>
  <si>
    <t>１階床面積</t>
  </si>
  <si>
    <t>２階の持ち出しバルコニー面積</t>
  </si>
  <si>
    <t>Ｘ方向</t>
  </si>
  <si>
    <t>Ｙ方向</t>
  </si>
  <si>
    <t>屋根の種類</t>
  </si>
  <si>
    <t>←瓦屋根は半角数字の1を記入、瓦以外の屋根は半角数字の0を記入</t>
  </si>
  <si>
    <t>必要壁量</t>
  </si>
  <si>
    <t>階</t>
  </si>
  <si>
    <t>１階のオーバーハングの面積</t>
  </si>
  <si>
    <t>■建築基準法の必要壁量の計算</t>
  </si>
  <si>
    <t>地震用床面積</t>
  </si>
  <si>
    <t>上下階比</t>
  </si>
  <si>
    <t>構造係数</t>
  </si>
  <si>
    <t>地域地震係数</t>
  </si>
  <si>
    <t>積雪係数</t>
  </si>
  <si>
    <t>耐震等級－２</t>
  </si>
  <si>
    <t>耐震等級－３</t>
  </si>
  <si>
    <t>耐震等級</t>
  </si>
  <si>
    <t>■品確法の耐震等級のための必要壁量の計算（一般地域）</t>
  </si>
  <si>
    <t>■品確法の耐震等級のための必要壁量の計算（積雪１ｍ地域）</t>
  </si>
  <si>
    <t>判定</t>
  </si>
  <si>
    <t>(m2)</t>
  </si>
  <si>
    <t>(m2)</t>
  </si>
  <si>
    <t>(m2)</t>
  </si>
  <si>
    <t>(m2)</t>
  </si>
  <si>
    <t>S2</t>
  </si>
  <si>
    <t>Rf</t>
  </si>
  <si>
    <t>K1</t>
  </si>
  <si>
    <t>Z</t>
  </si>
  <si>
    <t>■それぞの等級に必要な壁量（耐力壁の量）の数値です（単位　cm）</t>
  </si>
  <si>
    <t>等級－１（建築基準法同等）</t>
  </si>
  <si>
    <t>等級－２（基準法の１．２５倍の耐震性）</t>
  </si>
  <si>
    <t>等級－３（基準法の１．５倍の耐震性）</t>
  </si>
  <si>
    <t>■設計壁量</t>
  </si>
  <si>
    <t>（設計者から聞いて記入してください）</t>
  </si>
  <si>
    <t>この下の表は、積雪が１ｍ程度ある積雪地域での必要な耐力壁の量です。</t>
  </si>
  <si>
    <t>１．この表は、軸組工法、２Ｘ４工法の２階建てまでの建物が対象です。</t>
  </si>
  <si>
    <t>２．風圧力に対するチェックは含めていません。</t>
  </si>
  <si>
    <t>■ご注意</t>
  </si>
  <si>
    <t>住まいの耐震チェックシート</t>
  </si>
  <si>
    <t>このチェックシートは、品確法の耐震等級から、住まいの耐震度をチェックするものです。</t>
  </si>
  <si>
    <t>判定では、設計壁量に数値を入力すると、自動的にそれぞれの等級で設計壁量が満たしていれは"ＯＫ"と表示され、設計壁量が不足していれば"不足"と表示されます。</t>
  </si>
  <si>
    <t>今までのサポートサービスの平均像は、準耐力壁（＊１）などを含めずに、軸組工法では等級２前後、２Ｘ４工法では等級３程度の耐震性を有しています</t>
  </si>
  <si>
    <t>（＊１）準耐力壁とは、窓やドアなどの上下の石膏ボードなどにも所定の方法で釘などを打ち、強度は弱いが耐力壁の一種として計算にいれてもよい壁です。</t>
  </si>
  <si>
    <t>■小屋裏収納、ロフトの取り扱い</t>
  </si>
  <si>
    <t>２階の床面積の1/8を越える小屋裏収納やロフトは、２階の床面積に含めて壁量計算をする必要があります。（告示第1351号）なお、品確法の場合は、すべて含めます。</t>
  </si>
  <si>
    <t>設計壁量は記載しなくてもかまいませんが、右の判定部分は不足と表示されます。設計壁量がわかった時点で記入してください。</t>
  </si>
  <si>
    <t>３．緑色の部分にのみ記入してください。それ以外はロックされています。ロック解除はシート保護で解除してください。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</si>
</sst>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_ࠀ"/>
    <numFmt numFmtId="178" formatCode="0;_쐀"/>
    <numFmt numFmtId="179" formatCode="0.0;_쐀"/>
    <numFmt numFmtId="180" formatCode="0.00;_쐀"/>
    <numFmt numFmtId="181" formatCode="0_ "/>
    <numFmt numFmtId="182" formatCode="0.00_ "/>
  </numFmts>
  <fonts count="1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1" xfId="17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7" applyFont="1" applyBorder="1" applyAlignment="1">
      <alignment vertical="center"/>
    </xf>
    <xf numFmtId="38" fontId="3" fillId="2" borderId="8" xfId="0" applyNumberFormat="1" applyFont="1" applyFill="1" applyBorder="1" applyAlignment="1">
      <alignment horizontal="right" vertical="center"/>
    </xf>
    <xf numFmtId="38" fontId="3" fillId="2" borderId="9" xfId="0" applyNumberFormat="1" applyFont="1" applyFill="1" applyBorder="1" applyAlignment="1">
      <alignment horizontal="right" vertical="center"/>
    </xf>
    <xf numFmtId="38" fontId="3" fillId="2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38" fontId="4" fillId="4" borderId="0" xfId="0" applyNumberFormat="1" applyFont="1" applyFill="1" applyBorder="1" applyAlignment="1">
      <alignment vertical="center"/>
    </xf>
    <xf numFmtId="38" fontId="4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vertical="center"/>
    </xf>
    <xf numFmtId="38" fontId="4" fillId="4" borderId="0" xfId="17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176" fontId="0" fillId="6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38" fontId="10" fillId="0" borderId="0" xfId="17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8" fontId="0" fillId="0" borderId="1" xfId="17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center" wrapText="1"/>
    </xf>
    <xf numFmtId="38" fontId="0" fillId="0" borderId="1" xfId="17" applyFont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workbookViewId="0" topLeftCell="A1">
      <selection activeCell="G11" sqref="G11"/>
    </sheetView>
  </sheetViews>
  <sheetFormatPr defaultColWidth="9.33203125" defaultRowHeight="11.25"/>
  <cols>
    <col min="1" max="1" width="4.5" style="0" customWidth="1"/>
    <col min="10" max="10" width="1.0078125" style="0" customWidth="1"/>
  </cols>
  <sheetData>
    <row r="1" ht="63.75" customHeight="1">
      <c r="B1" s="19" t="s">
        <v>54</v>
      </c>
    </row>
    <row r="2" spans="2:14" ht="1.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3" ht="39.75" customHeight="1">
      <c r="B3" s="85" t="s">
        <v>55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5" customHeight="1">
      <c r="B4" s="50" t="s">
        <v>53</v>
      </c>
    </row>
    <row r="5" spans="2:14" ht="15" customHeight="1">
      <c r="B5" s="85" t="s">
        <v>51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2:14" ht="15" customHeight="1">
      <c r="B6" s="51" t="s">
        <v>52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customHeight="1">
      <c r="B7" s="51" t="s">
        <v>62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5" customHeight="1"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ht="15" customHeight="1"/>
    <row r="10" ht="15" customHeight="1">
      <c r="B10" s="4" t="s">
        <v>9</v>
      </c>
    </row>
    <row r="11" spans="2:7" ht="15" customHeight="1">
      <c r="B11" s="76" t="s">
        <v>19</v>
      </c>
      <c r="C11" s="77"/>
      <c r="D11" s="77"/>
      <c r="E11" s="78"/>
      <c r="F11" s="58">
        <v>1</v>
      </c>
      <c r="G11" t="s">
        <v>20</v>
      </c>
    </row>
    <row r="12" spans="2:7" ht="15" customHeight="1">
      <c r="B12" s="71" t="s">
        <v>1</v>
      </c>
      <c r="C12" s="71" t="s">
        <v>10</v>
      </c>
      <c r="D12" s="71"/>
      <c r="E12" s="71"/>
      <c r="F12" s="58">
        <v>48.53</v>
      </c>
      <c r="G12" t="s">
        <v>36</v>
      </c>
    </row>
    <row r="13" spans="2:14" ht="15" customHeight="1">
      <c r="B13" s="71"/>
      <c r="C13" s="79" t="s">
        <v>11</v>
      </c>
      <c r="D13" s="79"/>
      <c r="E13" s="79"/>
      <c r="F13" s="58">
        <v>0</v>
      </c>
      <c r="G13" t="s">
        <v>37</v>
      </c>
      <c r="H13" s="71" t="s">
        <v>1</v>
      </c>
      <c r="I13" s="1" t="s">
        <v>13</v>
      </c>
      <c r="J13" s="1"/>
      <c r="K13" s="1"/>
      <c r="L13" s="1"/>
      <c r="M13" s="1">
        <f>IF(F12/8&lt;F13,F12+F13*0.66,F12)</f>
        <v>48.53</v>
      </c>
      <c r="N13" t="s">
        <v>38</v>
      </c>
    </row>
    <row r="14" spans="2:14" ht="15" customHeight="1">
      <c r="B14" s="71"/>
      <c r="C14" s="79" t="s">
        <v>12</v>
      </c>
      <c r="D14" s="79"/>
      <c r="E14" s="79"/>
      <c r="F14" s="58">
        <v>0</v>
      </c>
      <c r="G14" t="s">
        <v>36</v>
      </c>
      <c r="H14" s="71"/>
      <c r="I14" s="1" t="s">
        <v>14</v>
      </c>
      <c r="J14" s="1"/>
      <c r="K14" s="1"/>
      <c r="L14" s="1"/>
      <c r="M14" s="1">
        <f>+F12+F13*0.66+F14</f>
        <v>48.53</v>
      </c>
      <c r="N14" t="s">
        <v>36</v>
      </c>
    </row>
    <row r="15" spans="2:7" ht="15" customHeight="1">
      <c r="B15" s="71" t="s">
        <v>2</v>
      </c>
      <c r="C15" s="71" t="s">
        <v>15</v>
      </c>
      <c r="D15" s="71"/>
      <c r="E15" s="71"/>
      <c r="F15" s="58">
        <v>58.22</v>
      </c>
      <c r="G15" t="s">
        <v>36</v>
      </c>
    </row>
    <row r="16" spans="2:14" ht="15" customHeight="1">
      <c r="B16" s="71"/>
      <c r="C16" s="79" t="s">
        <v>16</v>
      </c>
      <c r="D16" s="79"/>
      <c r="E16" s="79"/>
      <c r="F16" s="58">
        <v>12.3</v>
      </c>
      <c r="G16" t="s">
        <v>36</v>
      </c>
      <c r="H16" s="71" t="s">
        <v>2</v>
      </c>
      <c r="I16" s="1" t="s">
        <v>13</v>
      </c>
      <c r="J16" s="1"/>
      <c r="K16" s="1"/>
      <c r="L16" s="1"/>
      <c r="M16" s="1">
        <f>+F15</f>
        <v>58.22</v>
      </c>
      <c r="N16" t="s">
        <v>38</v>
      </c>
    </row>
    <row r="17" spans="2:14" ht="15" customHeight="1">
      <c r="B17" s="71"/>
      <c r="C17" s="79" t="s">
        <v>23</v>
      </c>
      <c r="D17" s="79"/>
      <c r="E17" s="79"/>
      <c r="F17" s="58">
        <v>0</v>
      </c>
      <c r="G17" t="s">
        <v>6</v>
      </c>
      <c r="H17" s="71"/>
      <c r="I17" s="1" t="s">
        <v>14</v>
      </c>
      <c r="J17" s="1"/>
      <c r="K17" s="1"/>
      <c r="L17" s="1"/>
      <c r="M17" s="1">
        <f>+F15+F16*0.4+F17</f>
        <v>63.14</v>
      </c>
      <c r="N17" t="s">
        <v>36</v>
      </c>
    </row>
    <row r="18" ht="15" customHeight="1">
      <c r="H18" s="57" t="s">
        <v>59</v>
      </c>
    </row>
    <row r="19" spans="2:13" ht="15" customHeight="1">
      <c r="B19" s="4" t="s">
        <v>24</v>
      </c>
      <c r="H19" s="66" t="s">
        <v>60</v>
      </c>
      <c r="I19" s="66"/>
      <c r="J19" s="66"/>
      <c r="K19" s="66"/>
      <c r="L19" s="66"/>
      <c r="M19" s="66"/>
    </row>
    <row r="20" spans="2:14" ht="15" customHeight="1">
      <c r="B20" s="71" t="s">
        <v>0</v>
      </c>
      <c r="C20" s="72" t="s">
        <v>3</v>
      </c>
      <c r="D20" s="71"/>
      <c r="E20" s="73"/>
      <c r="F20" s="14"/>
      <c r="G20" s="7"/>
      <c r="H20" s="66"/>
      <c r="I20" s="66"/>
      <c r="J20" s="66"/>
      <c r="K20" s="66"/>
      <c r="L20" s="66"/>
      <c r="M20" s="66"/>
      <c r="N20" s="7"/>
    </row>
    <row r="21" spans="2:14" ht="15" customHeight="1">
      <c r="B21" s="71"/>
      <c r="C21" s="72" t="s">
        <v>4</v>
      </c>
      <c r="D21" s="71"/>
      <c r="E21" s="73"/>
      <c r="F21" s="14"/>
      <c r="G21" s="7"/>
      <c r="H21" s="67"/>
      <c r="I21" s="67"/>
      <c r="J21" s="67"/>
      <c r="K21" s="67"/>
      <c r="L21" s="67"/>
      <c r="M21" s="67"/>
      <c r="N21" s="7"/>
    </row>
    <row r="22" spans="2:14" ht="15" customHeight="1">
      <c r="B22" s="71"/>
      <c r="C22" s="2" t="s">
        <v>5</v>
      </c>
      <c r="D22" s="2" t="s">
        <v>7</v>
      </c>
      <c r="E22" s="12" t="s">
        <v>8</v>
      </c>
      <c r="F22" s="14"/>
      <c r="G22" s="7"/>
      <c r="H22" s="7"/>
      <c r="I22" s="7"/>
      <c r="J22" s="7"/>
      <c r="K22" s="7"/>
      <c r="L22" s="7"/>
      <c r="M22" s="7"/>
      <c r="N22" s="15"/>
    </row>
    <row r="23" spans="2:14" ht="15" customHeight="1">
      <c r="B23" s="71"/>
      <c r="C23" s="2" t="s">
        <v>39</v>
      </c>
      <c r="D23" s="2"/>
      <c r="E23" s="12"/>
      <c r="F23" s="16"/>
      <c r="G23" s="15"/>
      <c r="H23" s="15"/>
      <c r="I23" s="15"/>
      <c r="J23" s="15"/>
      <c r="K23" s="15"/>
      <c r="L23" s="15"/>
      <c r="M23" s="15"/>
      <c r="N23" s="15"/>
    </row>
    <row r="24" spans="2:14" ht="15" customHeight="1">
      <c r="B24" s="1" t="s">
        <v>1</v>
      </c>
      <c r="C24" s="1">
        <f>+M13</f>
        <v>48.53</v>
      </c>
      <c r="D24" s="1">
        <f>IF(F11=0,15,21)</f>
        <v>21</v>
      </c>
      <c r="E24" s="13">
        <f>ROUNDUP((+C24*D24),0)</f>
        <v>1020</v>
      </c>
      <c r="F24" s="16"/>
      <c r="G24" s="15"/>
      <c r="H24" s="17"/>
      <c r="I24" s="15"/>
      <c r="J24" s="15"/>
      <c r="K24" s="15"/>
      <c r="L24" s="17"/>
      <c r="M24" s="17"/>
      <c r="N24" s="17"/>
    </row>
    <row r="25" spans="2:14" ht="15" customHeight="1">
      <c r="B25" s="1" t="s">
        <v>2</v>
      </c>
      <c r="C25" s="1">
        <f>+M16</f>
        <v>58.22</v>
      </c>
      <c r="D25" s="1">
        <f>IF(F11=0,29,33)</f>
        <v>33</v>
      </c>
      <c r="E25" s="13">
        <f>ROUNDUP((+C25*D25),0)</f>
        <v>1922</v>
      </c>
      <c r="F25" s="16"/>
      <c r="G25" s="15"/>
      <c r="H25" s="17"/>
      <c r="I25" s="15"/>
      <c r="J25" s="15"/>
      <c r="K25" s="15"/>
      <c r="L25" s="17"/>
      <c r="M25" s="17"/>
      <c r="N25" s="17"/>
    </row>
    <row r="26" ht="15" customHeight="1"/>
    <row r="27" ht="15" customHeight="1">
      <c r="B27" s="4" t="s">
        <v>33</v>
      </c>
    </row>
    <row r="28" spans="2:14" ht="15" customHeight="1">
      <c r="B28" s="75" t="s">
        <v>32</v>
      </c>
      <c r="C28" s="80" t="s">
        <v>22</v>
      </c>
      <c r="D28" s="92" t="s">
        <v>7</v>
      </c>
      <c r="E28" s="75" t="s">
        <v>25</v>
      </c>
      <c r="F28" s="75" t="s">
        <v>26</v>
      </c>
      <c r="G28" s="75" t="s">
        <v>27</v>
      </c>
      <c r="H28" s="75" t="s">
        <v>29</v>
      </c>
      <c r="I28" s="75" t="s">
        <v>28</v>
      </c>
      <c r="J28" s="22"/>
      <c r="K28" s="86" t="s">
        <v>21</v>
      </c>
      <c r="L28" s="87"/>
      <c r="M28" s="16"/>
      <c r="N28" s="18"/>
    </row>
    <row r="29" spans="2:14" ht="8.25" customHeight="1">
      <c r="B29" s="75"/>
      <c r="C29" s="80"/>
      <c r="D29" s="93"/>
      <c r="E29" s="75"/>
      <c r="F29" s="75"/>
      <c r="G29" s="75"/>
      <c r="H29" s="75"/>
      <c r="I29" s="75"/>
      <c r="J29" s="23"/>
      <c r="K29" s="88"/>
      <c r="L29" s="89"/>
      <c r="M29" s="16"/>
      <c r="N29" s="18"/>
    </row>
    <row r="30" spans="2:14" ht="15" customHeight="1">
      <c r="B30" s="75"/>
      <c r="C30" s="80"/>
      <c r="D30" s="94"/>
      <c r="E30" s="3" t="s">
        <v>40</v>
      </c>
      <c r="F30" s="2" t="s">
        <v>41</v>
      </c>
      <c r="G30" s="2" t="s">
        <v>42</v>
      </c>
      <c r="H30" s="2"/>
      <c r="I30" s="2" t="s">
        <v>43</v>
      </c>
      <c r="J30" s="24"/>
      <c r="K30" s="90"/>
      <c r="L30" s="91"/>
      <c r="M30" s="16"/>
      <c r="N30" s="18"/>
    </row>
    <row r="31" spans="2:12" ht="15" customHeight="1">
      <c r="B31" s="82" t="s">
        <v>30</v>
      </c>
      <c r="C31" s="1" t="s">
        <v>1</v>
      </c>
      <c r="D31" s="1">
        <f>IF(F11=0,18,25)</f>
        <v>25</v>
      </c>
      <c r="E31" s="1">
        <f>+$M$14</f>
        <v>48.53</v>
      </c>
      <c r="F31" s="1">
        <f>ROUND(+E31/E32,2)</f>
        <v>0.77</v>
      </c>
      <c r="G31" s="1">
        <f>ROUND(1.3+(0.07/F31),2)</f>
        <v>1.39</v>
      </c>
      <c r="H31" s="1"/>
      <c r="I31" s="59">
        <v>1</v>
      </c>
      <c r="J31" s="60"/>
      <c r="K31" s="81">
        <f>ROUNDUP((+D31*E31*G31+I31),0)</f>
        <v>1688</v>
      </c>
      <c r="L31" s="72"/>
    </row>
    <row r="32" spans="2:12" ht="15" customHeight="1">
      <c r="B32" s="82"/>
      <c r="C32" s="1" t="s">
        <v>2</v>
      </c>
      <c r="D32" s="1">
        <f>IF(F11=0,45,58)</f>
        <v>58</v>
      </c>
      <c r="E32" s="1">
        <f>+$M$17</f>
        <v>63.14</v>
      </c>
      <c r="F32" s="1">
        <f>ROUND(+E31/E32,2)</f>
        <v>0.77</v>
      </c>
      <c r="G32" s="1">
        <f>ROUND(0.4+0.6*F32,2)</f>
        <v>0.86</v>
      </c>
      <c r="H32" s="1"/>
      <c r="I32" s="63">
        <f>+I31</f>
        <v>1</v>
      </c>
      <c r="J32" s="60"/>
      <c r="K32" s="81">
        <f>ROUNDUP((+D32*E32*G32*I32),0)</f>
        <v>3150</v>
      </c>
      <c r="L32" s="72"/>
    </row>
    <row r="33" spans="2:12" ht="15" customHeight="1">
      <c r="B33" s="82" t="s">
        <v>31</v>
      </c>
      <c r="C33" s="1" t="s">
        <v>1</v>
      </c>
      <c r="D33" s="1">
        <f>IF(F11=0,22,30)</f>
        <v>30</v>
      </c>
      <c r="E33" s="1">
        <f>+$M$14</f>
        <v>48.53</v>
      </c>
      <c r="F33" s="1">
        <f>ROUND(+E33/E34,2)</f>
        <v>0.77</v>
      </c>
      <c r="G33" s="1">
        <f>ROUND(1.3+(0.07/F33),2)</f>
        <v>1.39</v>
      </c>
      <c r="H33" s="1"/>
      <c r="I33" s="63">
        <f>+I31</f>
        <v>1</v>
      </c>
      <c r="J33" s="60"/>
      <c r="K33" s="81">
        <f>ROUNDUP((+D33*E33*G33*I33),0)</f>
        <v>2024</v>
      </c>
      <c r="L33" s="72"/>
    </row>
    <row r="34" spans="2:12" ht="15" customHeight="1">
      <c r="B34" s="82"/>
      <c r="C34" s="1" t="s">
        <v>2</v>
      </c>
      <c r="D34" s="1">
        <f>IF(F11=0,54,69)</f>
        <v>69</v>
      </c>
      <c r="E34" s="1">
        <f>+$M$17</f>
        <v>63.14</v>
      </c>
      <c r="F34" s="1">
        <f>ROUND(+E33/E34,2)</f>
        <v>0.77</v>
      </c>
      <c r="G34" s="1">
        <f>ROUND(0.4+0.6*F34,2)</f>
        <v>0.86</v>
      </c>
      <c r="H34" s="1"/>
      <c r="I34" s="63">
        <f>+I31</f>
        <v>1</v>
      </c>
      <c r="J34" s="60"/>
      <c r="K34" s="81">
        <f>ROUNDUP((+D34*E34*G34*I34),0)</f>
        <v>3747</v>
      </c>
      <c r="L34" s="72"/>
    </row>
    <row r="35" spans="2:12" ht="15" customHeight="1">
      <c r="B35" s="5"/>
      <c r="C35" s="6"/>
      <c r="D35" s="6"/>
      <c r="E35" s="6"/>
      <c r="F35" s="6"/>
      <c r="G35" s="6"/>
      <c r="H35" s="6"/>
      <c r="I35" s="8"/>
      <c r="J35" s="8"/>
      <c r="K35" s="9"/>
      <c r="L35" s="7"/>
    </row>
    <row r="36" spans="2:12" ht="15" customHeight="1" thickBot="1">
      <c r="B36" s="20" t="s">
        <v>44</v>
      </c>
      <c r="C36" s="6"/>
      <c r="D36" s="6"/>
      <c r="E36" s="6"/>
      <c r="F36" s="6"/>
      <c r="G36" s="6"/>
      <c r="H36" s="6"/>
      <c r="I36" s="8"/>
      <c r="J36" s="8"/>
      <c r="K36" s="21" t="s">
        <v>48</v>
      </c>
      <c r="L36" s="7"/>
    </row>
    <row r="37" spans="2:14" ht="15" customHeight="1">
      <c r="B37" s="100" t="s">
        <v>32</v>
      </c>
      <c r="C37" s="101"/>
      <c r="D37" s="101"/>
      <c r="E37" s="101"/>
      <c r="F37" s="104" t="s">
        <v>22</v>
      </c>
      <c r="G37" s="106" t="s">
        <v>21</v>
      </c>
      <c r="H37" s="83" t="s">
        <v>35</v>
      </c>
      <c r="I37" s="84"/>
      <c r="J37" s="8"/>
      <c r="K37" s="29" t="s">
        <v>49</v>
      </c>
      <c r="L37" s="7"/>
      <c r="M37" s="6"/>
      <c r="N37" s="6"/>
    </row>
    <row r="38" spans="2:14" ht="15" customHeight="1" thickBot="1">
      <c r="B38" s="102"/>
      <c r="C38" s="103"/>
      <c r="D38" s="103"/>
      <c r="E38" s="103"/>
      <c r="F38" s="105"/>
      <c r="G38" s="107"/>
      <c r="H38" s="35" t="s">
        <v>17</v>
      </c>
      <c r="I38" s="36" t="s">
        <v>18</v>
      </c>
      <c r="J38" s="15"/>
      <c r="K38" s="11"/>
      <c r="L38" s="2" t="s">
        <v>17</v>
      </c>
      <c r="M38" s="2" t="s">
        <v>18</v>
      </c>
      <c r="N38" s="6"/>
    </row>
    <row r="39" spans="2:14" ht="15" customHeight="1">
      <c r="B39" s="100" t="s">
        <v>45</v>
      </c>
      <c r="C39" s="108"/>
      <c r="D39" s="108"/>
      <c r="E39" s="108"/>
      <c r="F39" s="27" t="s">
        <v>1</v>
      </c>
      <c r="G39" s="30">
        <f>+E24</f>
        <v>1020</v>
      </c>
      <c r="H39" s="33" t="str">
        <f>IF(G39&lt;L39,"ＯＫ","不足")</f>
        <v>ＯＫ</v>
      </c>
      <c r="I39" s="34" t="str">
        <f>IF(G39&lt;M39,"ＯＫ","不足")</f>
        <v>ＯＫ</v>
      </c>
      <c r="J39" s="15"/>
      <c r="K39" s="95" t="s">
        <v>1</v>
      </c>
      <c r="L39" s="96">
        <v>2002</v>
      </c>
      <c r="M39" s="98">
        <v>1820</v>
      </c>
      <c r="N39" s="6"/>
    </row>
    <row r="40" spans="2:14" ht="15" customHeight="1" thickBot="1">
      <c r="B40" s="52"/>
      <c r="C40" s="53"/>
      <c r="D40" s="53"/>
      <c r="E40" s="53"/>
      <c r="F40" s="28" t="s">
        <v>2</v>
      </c>
      <c r="G40" s="31">
        <f>+E25</f>
        <v>1922</v>
      </c>
      <c r="H40" s="35" t="str">
        <f>IF(G40&lt;L41,"ＯＫ","不足")</f>
        <v>ＯＫ</v>
      </c>
      <c r="I40" s="37" t="str">
        <f>IF(G40&lt;M41,"ＯＫ","不足")</f>
        <v>ＯＫ</v>
      </c>
      <c r="J40" s="15"/>
      <c r="K40" s="72"/>
      <c r="L40" s="97"/>
      <c r="M40" s="99"/>
      <c r="N40" s="6"/>
    </row>
    <row r="41" spans="2:14" ht="15" customHeight="1">
      <c r="B41" s="100" t="s">
        <v>46</v>
      </c>
      <c r="C41" s="108"/>
      <c r="D41" s="108"/>
      <c r="E41" s="108"/>
      <c r="F41" s="27" t="s">
        <v>1</v>
      </c>
      <c r="G41" s="30">
        <f>+K31</f>
        <v>1688</v>
      </c>
      <c r="H41" s="33" t="str">
        <f>IF(G41&lt;L39,"ＯＫ","不足")</f>
        <v>ＯＫ</v>
      </c>
      <c r="I41" s="34" t="str">
        <f>IF(G41&lt;M39,"ＯＫ","不足")</f>
        <v>ＯＫ</v>
      </c>
      <c r="J41" s="15"/>
      <c r="K41" s="95" t="s">
        <v>2</v>
      </c>
      <c r="L41" s="96">
        <v>3049</v>
      </c>
      <c r="M41" s="98">
        <v>3094</v>
      </c>
      <c r="N41" s="6"/>
    </row>
    <row r="42" spans="2:14" ht="15" customHeight="1" thickBot="1">
      <c r="B42" s="52"/>
      <c r="C42" s="53"/>
      <c r="D42" s="53"/>
      <c r="E42" s="53"/>
      <c r="F42" s="28" t="s">
        <v>2</v>
      </c>
      <c r="G42" s="31">
        <f>+K32</f>
        <v>3150</v>
      </c>
      <c r="H42" s="35" t="str">
        <f>IF(G42&lt;L41,"ＯＫ","不足")</f>
        <v>不足</v>
      </c>
      <c r="I42" s="37" t="str">
        <f>IF(G42&lt;M41,"ＯＫ","不足")</f>
        <v>不足</v>
      </c>
      <c r="J42" s="15"/>
      <c r="K42" s="72"/>
      <c r="L42" s="97"/>
      <c r="M42" s="99"/>
      <c r="N42" s="6"/>
    </row>
    <row r="43" spans="2:14" ht="15" customHeight="1">
      <c r="B43" s="61" t="s">
        <v>47</v>
      </c>
      <c r="C43" s="62"/>
      <c r="D43" s="62"/>
      <c r="E43" s="62"/>
      <c r="F43" s="10" t="s">
        <v>1</v>
      </c>
      <c r="G43" s="32">
        <f>+K33</f>
        <v>2024</v>
      </c>
      <c r="H43" s="38" t="str">
        <f>IF(G43&lt;L39,"ＯＫ","不足")</f>
        <v>不足</v>
      </c>
      <c r="I43" s="39" t="str">
        <f>IF(G43&lt;M39,"ＯＫ","不足")</f>
        <v>不足</v>
      </c>
      <c r="J43" s="15"/>
      <c r="K43" s="68" t="s">
        <v>61</v>
      </c>
      <c r="L43" s="69"/>
      <c r="M43" s="69"/>
      <c r="N43" s="66"/>
    </row>
    <row r="44" spans="2:14" ht="15" customHeight="1" thickBot="1">
      <c r="B44" s="52"/>
      <c r="C44" s="53"/>
      <c r="D44" s="53"/>
      <c r="E44" s="53"/>
      <c r="F44" s="28" t="s">
        <v>2</v>
      </c>
      <c r="G44" s="31">
        <f>+K34</f>
        <v>3747</v>
      </c>
      <c r="H44" s="35" t="str">
        <f>IF(G44&lt;L41,"ＯＫ","不足")</f>
        <v>不足</v>
      </c>
      <c r="I44" s="37" t="str">
        <f>IF(G44&lt;M41,"ＯＫ","不足")</f>
        <v>不足</v>
      </c>
      <c r="J44" s="15"/>
      <c r="K44" s="70"/>
      <c r="L44" s="70"/>
      <c r="M44" s="70"/>
      <c r="N44" s="66"/>
    </row>
    <row r="45" spans="2:12" ht="15" customHeight="1">
      <c r="B45" s="20"/>
      <c r="C45" s="20"/>
      <c r="D45" s="20"/>
      <c r="E45" s="20"/>
      <c r="F45" s="6"/>
      <c r="G45" s="40"/>
      <c r="H45" s="41"/>
      <c r="I45" s="41"/>
      <c r="J45" s="15"/>
      <c r="K45" s="9"/>
      <c r="L45" s="7"/>
    </row>
    <row r="46" spans="2:13" ht="26.25" customHeight="1">
      <c r="B46" s="64" t="s">
        <v>56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 ht="26.25" customHeight="1">
      <c r="B47" s="64" t="s">
        <v>57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 ht="26.25" customHeight="1">
      <c r="B48" s="64" t="s">
        <v>58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2:13" ht="1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4" ht="1.5" customHeight="1">
      <c r="A50" s="42"/>
      <c r="B50" s="43"/>
      <c r="C50" s="44"/>
      <c r="D50" s="44"/>
      <c r="E50" s="45"/>
      <c r="F50" s="46"/>
      <c r="G50" s="44"/>
      <c r="H50" s="47"/>
      <c r="I50" s="48"/>
      <c r="J50" s="48"/>
      <c r="K50" s="49"/>
      <c r="L50" s="47"/>
      <c r="M50" s="43"/>
      <c r="N50" s="43"/>
    </row>
    <row r="51" ht="40.5" customHeight="1">
      <c r="B51" t="s">
        <v>50</v>
      </c>
    </row>
    <row r="52" ht="15" customHeight="1">
      <c r="B52" s="4" t="s">
        <v>34</v>
      </c>
    </row>
    <row r="53" spans="2:14" ht="15" customHeight="1">
      <c r="B53" s="75" t="s">
        <v>32</v>
      </c>
      <c r="C53" s="80" t="s">
        <v>22</v>
      </c>
      <c r="D53" s="92" t="s">
        <v>7</v>
      </c>
      <c r="E53" s="75" t="s">
        <v>25</v>
      </c>
      <c r="F53" s="75" t="s">
        <v>26</v>
      </c>
      <c r="G53" s="75" t="s">
        <v>27</v>
      </c>
      <c r="H53" s="75" t="s">
        <v>29</v>
      </c>
      <c r="I53" s="75" t="s">
        <v>28</v>
      </c>
      <c r="J53" s="22"/>
      <c r="K53" s="86" t="s">
        <v>21</v>
      </c>
      <c r="L53" s="87"/>
      <c r="M53" s="16"/>
      <c r="N53" s="18"/>
    </row>
    <row r="54" spans="2:14" ht="9" customHeight="1">
      <c r="B54" s="75"/>
      <c r="C54" s="80"/>
      <c r="D54" s="93"/>
      <c r="E54" s="75"/>
      <c r="F54" s="75"/>
      <c r="G54" s="75"/>
      <c r="H54" s="75"/>
      <c r="I54" s="75"/>
      <c r="J54" s="23"/>
      <c r="K54" s="88"/>
      <c r="L54" s="89"/>
      <c r="M54" s="16"/>
      <c r="N54" s="18"/>
    </row>
    <row r="55" spans="2:14" ht="15" customHeight="1">
      <c r="B55" s="75"/>
      <c r="C55" s="80"/>
      <c r="D55" s="94"/>
      <c r="E55" s="3" t="s">
        <v>40</v>
      </c>
      <c r="F55" s="2" t="s">
        <v>41</v>
      </c>
      <c r="G55" s="2" t="s">
        <v>42</v>
      </c>
      <c r="H55" s="2"/>
      <c r="I55" s="2" t="s">
        <v>43</v>
      </c>
      <c r="J55" s="24"/>
      <c r="K55" s="90"/>
      <c r="L55" s="91"/>
      <c r="M55" s="16"/>
      <c r="N55" s="18"/>
    </row>
    <row r="56" spans="2:12" ht="15" customHeight="1">
      <c r="B56" s="82" t="s">
        <v>30</v>
      </c>
      <c r="C56" s="1" t="s">
        <v>1</v>
      </c>
      <c r="D56" s="1">
        <f>IF(F11=0,34,41)</f>
        <v>41</v>
      </c>
      <c r="E56" s="1">
        <f>+$M$14</f>
        <v>48.53</v>
      </c>
      <c r="F56" s="1">
        <f>ROUND(+E56/E57,2)</f>
        <v>0.77</v>
      </c>
      <c r="G56" s="1">
        <f>ROUND(1.3+(0.07/F56),2)</f>
        <v>1.39</v>
      </c>
      <c r="H56" s="1"/>
      <c r="I56" s="60">
        <f>+I31</f>
        <v>1</v>
      </c>
      <c r="J56" s="60"/>
      <c r="K56" s="81">
        <f>ROUNDUP((+D56*E56*G56),0)</f>
        <v>2766</v>
      </c>
      <c r="L56" s="72"/>
    </row>
    <row r="57" spans="2:12" ht="15" customHeight="1">
      <c r="B57" s="82"/>
      <c r="C57" s="1" t="s">
        <v>2</v>
      </c>
      <c r="D57" s="1">
        <f>IF(F11=0,45,58)</f>
        <v>58</v>
      </c>
      <c r="E57" s="1">
        <f>+$M$17</f>
        <v>63.14</v>
      </c>
      <c r="F57" s="1">
        <f>ROUND(+E56/E57,2)</f>
        <v>0.77</v>
      </c>
      <c r="G57" s="1">
        <f>ROUND(0.4+0.6*F57,2)</f>
        <v>0.86</v>
      </c>
      <c r="H57" s="1">
        <v>16</v>
      </c>
      <c r="I57" s="60">
        <f>+I56</f>
        <v>1</v>
      </c>
      <c r="J57" s="60"/>
      <c r="K57" s="81">
        <f>+(D57*G57+H57)*E57</f>
        <v>4159.6632</v>
      </c>
      <c r="L57" s="72"/>
    </row>
    <row r="58" spans="2:12" ht="15" customHeight="1">
      <c r="B58" s="82" t="s">
        <v>31</v>
      </c>
      <c r="C58" s="1" t="s">
        <v>1</v>
      </c>
      <c r="D58" s="1">
        <f>IF(F11=0,41,50)</f>
        <v>50</v>
      </c>
      <c r="E58" s="1">
        <f>+$M$14</f>
        <v>48.53</v>
      </c>
      <c r="F58" s="1">
        <f>ROUND(+E58/E59,2)</f>
        <v>0.77</v>
      </c>
      <c r="G58" s="1">
        <f>ROUND(1.3+(0.07/F58),2)</f>
        <v>1.39</v>
      </c>
      <c r="H58" s="1"/>
      <c r="I58" s="60">
        <f>+I56</f>
        <v>1</v>
      </c>
      <c r="J58" s="60"/>
      <c r="K58" s="81">
        <f>ROUNDUP((+D58*E58*G58),0)</f>
        <v>3373</v>
      </c>
      <c r="L58" s="72"/>
    </row>
    <row r="59" spans="2:12" ht="15" customHeight="1">
      <c r="B59" s="82"/>
      <c r="C59" s="1" t="s">
        <v>2</v>
      </c>
      <c r="D59" s="1">
        <f>IF(F11=0,54,69)</f>
        <v>69</v>
      </c>
      <c r="E59" s="1">
        <f>+$M$17</f>
        <v>63.14</v>
      </c>
      <c r="F59" s="1">
        <f>ROUND(+E58/E59,2)</f>
        <v>0.77</v>
      </c>
      <c r="G59" s="1">
        <f>ROUND(0.4+0.6*F59,2)</f>
        <v>0.86</v>
      </c>
      <c r="H59" s="1">
        <v>20</v>
      </c>
      <c r="I59" s="60">
        <f>+I56</f>
        <v>1</v>
      </c>
      <c r="J59" s="60"/>
      <c r="K59" s="81">
        <f>+(D59*G59+H59)*E59</f>
        <v>5009.5276</v>
      </c>
      <c r="L59" s="72"/>
    </row>
    <row r="60" ht="15" customHeight="1"/>
  </sheetData>
  <sheetProtection sheet="1" objects="1" scenarios="1"/>
  <mergeCells count="65">
    <mergeCell ref="L39:L40"/>
    <mergeCell ref="M39:M40"/>
    <mergeCell ref="F37:F38"/>
    <mergeCell ref="G37:G38"/>
    <mergeCell ref="B39:E40"/>
    <mergeCell ref="B41:E42"/>
    <mergeCell ref="B5:N5"/>
    <mergeCell ref="K39:K40"/>
    <mergeCell ref="K41:K42"/>
    <mergeCell ref="C13:E13"/>
    <mergeCell ref="C14:E14"/>
    <mergeCell ref="C15:E15"/>
    <mergeCell ref="B28:B30"/>
    <mergeCell ref="C28:C30"/>
    <mergeCell ref="L41:L42"/>
    <mergeCell ref="M41:M42"/>
    <mergeCell ref="B3:M3"/>
    <mergeCell ref="B58:B59"/>
    <mergeCell ref="K58:L58"/>
    <mergeCell ref="K59:L59"/>
    <mergeCell ref="K28:L30"/>
    <mergeCell ref="D28:D30"/>
    <mergeCell ref="D53:D55"/>
    <mergeCell ref="K53:L55"/>
    <mergeCell ref="B56:B57"/>
    <mergeCell ref="K56:L56"/>
    <mergeCell ref="K57:L57"/>
    <mergeCell ref="F53:F54"/>
    <mergeCell ref="G53:G54"/>
    <mergeCell ref="H53:H54"/>
    <mergeCell ref="I53:I54"/>
    <mergeCell ref="K31:L31"/>
    <mergeCell ref="K32:L32"/>
    <mergeCell ref="K33:L33"/>
    <mergeCell ref="K34:L34"/>
    <mergeCell ref="H13:H14"/>
    <mergeCell ref="H16:H17"/>
    <mergeCell ref="B53:B55"/>
    <mergeCell ref="C53:C55"/>
    <mergeCell ref="E53:E54"/>
    <mergeCell ref="B33:B34"/>
    <mergeCell ref="B31:B32"/>
    <mergeCell ref="H37:I37"/>
    <mergeCell ref="B43:E44"/>
    <mergeCell ref="B37:E38"/>
    <mergeCell ref="H28:H29"/>
    <mergeCell ref="B11:E11"/>
    <mergeCell ref="B12:B14"/>
    <mergeCell ref="B15:B17"/>
    <mergeCell ref="C21:E21"/>
    <mergeCell ref="C12:E12"/>
    <mergeCell ref="C16:E16"/>
    <mergeCell ref="C17:E17"/>
    <mergeCell ref="E28:E29"/>
    <mergeCell ref="F28:F29"/>
    <mergeCell ref="B48:M48"/>
    <mergeCell ref="H19:M20"/>
    <mergeCell ref="H21:M21"/>
    <mergeCell ref="K43:N44"/>
    <mergeCell ref="B20:B23"/>
    <mergeCell ref="C20:E20"/>
    <mergeCell ref="B46:M46"/>
    <mergeCell ref="B47:M47"/>
    <mergeCell ref="I28:I29"/>
    <mergeCell ref="G28:G29"/>
  </mergeCells>
  <printOptions/>
  <pageMargins left="0.75" right="0.33" top="0.3" bottom="0.25" header="0.3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</dc:creator>
  <cp:keywords/>
  <dc:description/>
  <cp:lastModifiedBy>HORI</cp:lastModifiedBy>
  <cp:lastPrinted>2005-03-18T02:16:51Z</cp:lastPrinted>
  <dcterms:created xsi:type="dcterms:W3CDTF">2005-02-22T03:11:47Z</dcterms:created>
  <dcterms:modified xsi:type="dcterms:W3CDTF">2008-03-11T06:13:43Z</dcterms:modified>
  <cp:category/>
  <cp:version/>
  <cp:contentType/>
  <cp:contentStatus/>
</cp:coreProperties>
</file>